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risf\Documents\Documentos Pessoais\17-Website\ExultX\02-Blog\Articles\6.ª Publicação_Rucking\"/>
    </mc:Choice>
  </mc:AlternateContent>
  <xr:revisionPtr revIDLastSave="0" documentId="13_ncr:1_{48A15879-E0A9-482F-A03A-5F83B0ACB9A7}" xr6:coauthVersionLast="47" xr6:coauthVersionMax="47" xr10:uidLastSave="{00000000-0000-0000-0000-000000000000}"/>
  <workbookProtection workbookAlgorithmName="SHA-512" workbookHashValue="l0hDwJp9brmsu3ATSsurmuG+6JcAgNDD9d/D9BTVAx59srzON8a88nHylfY1Vaaw1fD+Xr7q/2j+yBKVsg/dag==" workbookSaltValue="MVKpC/Fl9snCYAl/Ev4/5g==" workbookSpinCount="100000" lockStructure="1"/>
  <bookViews>
    <workbookView xWindow="-110" yWindow="-110" windowWidth="19420" windowHeight="10420" xr2:uid="{26CED54F-BB66-4420-8877-78D2D2431C0B}"/>
  </bookViews>
  <sheets>
    <sheet name="Board" sheetId="2" r:id="rId1"/>
    <sheet name="Rucking" sheetId="1" r:id="rId2"/>
    <sheet name="Graph data" sheetId="3" state="hidden" r:id="rId3"/>
  </sheets>
  <definedNames>
    <definedName name="_xlnm.Print_Area" localSheetId="0">Board!$A$1:$M$39</definedName>
    <definedName name="_xlnm.Print_Area" localSheetId="1">Rucking!$A$1:$N$74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1" i="1" l="1"/>
  <c r="L45" i="1"/>
  <c r="L70" i="1"/>
  <c r="L67" i="1"/>
  <c r="L64" i="1"/>
  <c r="L58" i="1"/>
  <c r="L55" i="1"/>
  <c r="L52" i="1"/>
  <c r="L46" i="1"/>
  <c r="L43" i="1"/>
  <c r="L40" i="1"/>
  <c r="L34" i="1"/>
  <c r="L28" i="1"/>
  <c r="L22" i="1"/>
  <c r="L16" i="1"/>
  <c r="L66" i="1"/>
  <c r="L57" i="1"/>
  <c r="L39" i="1"/>
  <c r="L21" i="1" l="1"/>
  <c r="C6" i="3" s="1"/>
  <c r="L33" i="1"/>
  <c r="C10" i="3" s="1"/>
  <c r="L42" i="1"/>
  <c r="C13" i="3" s="1"/>
  <c r="L54" i="1"/>
  <c r="C17" i="3" s="1"/>
  <c r="L27" i="1"/>
  <c r="C8" i="3" s="1"/>
  <c r="L63" i="1"/>
  <c r="C20" i="3" s="1"/>
  <c r="L15" i="1"/>
  <c r="C4" i="3" s="1"/>
  <c r="D17" i="3"/>
  <c r="D13" i="3"/>
  <c r="D18" i="3"/>
  <c r="D16" i="3"/>
  <c r="D14" i="3"/>
  <c r="D10" i="3"/>
  <c r="D12" i="3"/>
  <c r="D21" i="3"/>
  <c r="D22" i="3"/>
  <c r="D20" i="3"/>
  <c r="D8" i="3"/>
  <c r="D6" i="3"/>
  <c r="D4" i="3"/>
  <c r="L69" i="1"/>
  <c r="C22" i="3" s="1"/>
  <c r="B9" i="1" a="1"/>
  <c r="B9" i="1" s="1"/>
  <c r="B10" i="1" s="1" a="1"/>
  <c r="B10" i="1" s="1"/>
  <c r="C21" i="3" l="1"/>
  <c r="C18" i="3"/>
  <c r="C16" i="3"/>
  <c r="C14" i="3"/>
  <c r="C12" i="3"/>
  <c r="G7" i="1"/>
  <c r="H3" i="1"/>
  <c r="H4" i="1"/>
  <c r="G6" i="1"/>
  <c r="G3" i="1"/>
  <c r="G5" i="1"/>
  <c r="H7" i="1"/>
  <c r="H6" i="1"/>
  <c r="H5" i="1"/>
  <c r="G4" i="1"/>
  <c r="L41" i="1" l="1"/>
  <c r="L44" i="1"/>
  <c r="L35" i="1"/>
  <c r="L29" i="1"/>
  <c r="L53" i="1"/>
  <c r="L56" i="1"/>
  <c r="L71" i="1"/>
  <c r="L17" i="1"/>
  <c r="L65" i="1"/>
  <c r="L59" i="1"/>
  <c r="L23" i="1"/>
  <c r="L68" i="1"/>
  <c r="L4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<sst xmlns="http://schemas.openxmlformats.org/spreadsheetml/2006/main" count="272" uniqueCount="64">
  <si>
    <t>Week 1</t>
  </si>
  <si>
    <t>Week 2</t>
  </si>
  <si>
    <t>Week 3</t>
  </si>
  <si>
    <t>Week 4</t>
  </si>
  <si>
    <t>Week 5</t>
  </si>
  <si>
    <t>Week 6</t>
  </si>
  <si>
    <t>Week 7</t>
  </si>
  <si>
    <t>Week 8</t>
  </si>
  <si>
    <t>Week 9</t>
  </si>
  <si>
    <t>Week 10</t>
  </si>
  <si>
    <t>Week 11</t>
  </si>
  <si>
    <t>Week 12</t>
  </si>
  <si>
    <t>Week 13</t>
  </si>
  <si>
    <t>Week 14</t>
  </si>
  <si>
    <t>Week 15</t>
  </si>
  <si>
    <t>Distance</t>
  </si>
  <si>
    <t>Week 16</t>
  </si>
  <si>
    <t>Week 17</t>
  </si>
  <si>
    <t>Week 18</t>
  </si>
  <si>
    <t>Week 19</t>
  </si>
  <si>
    <t>Week 20</t>
  </si>
  <si>
    <t>Monday</t>
  </si>
  <si>
    <t>Tuesday</t>
  </si>
  <si>
    <t>Wednesday</t>
  </si>
  <si>
    <t>Thrusday</t>
  </si>
  <si>
    <t>Friday</t>
  </si>
  <si>
    <t>Saturnday</t>
  </si>
  <si>
    <t>Rest</t>
  </si>
  <si>
    <t>Rucking</t>
  </si>
  <si>
    <t>Strength LB</t>
  </si>
  <si>
    <t>Fitness Status:</t>
  </si>
  <si>
    <t>Body Weigth:</t>
  </si>
  <si>
    <t>Target Distance:</t>
  </si>
  <si>
    <t>Biologic Sex:</t>
  </si>
  <si>
    <t>Age:</t>
  </si>
  <si>
    <t>Zona 1</t>
  </si>
  <si>
    <t>Zona 2</t>
  </si>
  <si>
    <t>Zona 3</t>
  </si>
  <si>
    <t>Zona 4</t>
  </si>
  <si>
    <t>Zona 5</t>
  </si>
  <si>
    <t>Maximun HR:</t>
  </si>
  <si>
    <t>Rest HR:</t>
  </si>
  <si>
    <t>HR Reserve:</t>
  </si>
  <si>
    <t>Distance:</t>
  </si>
  <si>
    <t>External Load:</t>
  </si>
  <si>
    <t>Heart Rate Zone:</t>
  </si>
  <si>
    <t>-</t>
  </si>
  <si>
    <t>Load</t>
  </si>
  <si>
    <t>Week</t>
  </si>
  <si>
    <t>Instructions:</t>
  </si>
  <si>
    <t>Go to the Rucking sheet and enter your values in the green cells. Everything else is automated.
Please note that this Excel sheet aims to personalise the 20-week program according to your data, but it is important to recognise that it also has its limitations.
We appreciate your understanding.
Best regards,
ExultX</t>
  </si>
  <si>
    <t>5 Zones for Endurance Training Based on Heart Rate Reserve
(bpm)</t>
  </si>
  <si>
    <t>Strength UB</t>
  </si>
  <si>
    <t>C.E</t>
  </si>
  <si>
    <t>LSD Running</t>
  </si>
  <si>
    <t>HIIT Indoor Cycling</t>
  </si>
  <si>
    <t>Fartlek</t>
  </si>
  <si>
    <t>HIIT Cycling</t>
  </si>
  <si>
    <t>I.T Running</t>
  </si>
  <si>
    <t>Target Rucking Weight:</t>
  </si>
  <si>
    <t>The Target Rucking  Weight includes all the equipment: ruckbag, tactical clothing, boots, etc.</t>
  </si>
  <si>
    <t>ExultX Rucking Template</t>
  </si>
  <si>
    <t>Rucking Considerations</t>
  </si>
  <si>
    <r>
      <rPr>
        <b/>
        <sz val="12"/>
        <color theme="0"/>
        <rFont val="Aptos Narrow"/>
        <family val="2"/>
        <scheme val="minor"/>
      </rPr>
      <t xml:space="preserve">CAPTION:
</t>
    </r>
    <r>
      <rPr>
        <sz val="11"/>
        <color theme="0"/>
        <rFont val="Aptos Narrow"/>
        <family val="2"/>
        <scheme val="minor"/>
      </rPr>
      <t xml:space="preserve">
UB = Upper Body;
LB = Lower Body;
C.E = Cardiovascular Endurance; 
LSD = Long, Slow, Distance; 
I.T = Interval Training;
High-Intensity Interval  Training = HIIT
</t>
    </r>
    <r>
      <rPr>
        <b/>
        <sz val="11"/>
        <color theme="0"/>
        <rFont val="Aptos Narrow"/>
        <family val="2"/>
        <scheme val="minor"/>
      </rPr>
      <t>NOTES:</t>
    </r>
    <r>
      <rPr>
        <sz val="11"/>
        <color theme="0"/>
        <rFont val="Aptos Narrow"/>
        <family val="2"/>
        <scheme val="minor"/>
      </rPr>
      <t xml:space="preserve">
At Rucking Considerations, the External Load refers to the total weight of all equipment carried. This includes not just the rucksack, but all the gear.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</si>
</sst>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&quot;kg&quot;"/>
    <numFmt numFmtId="165" formatCode="0.0&quot;km&quot;"/>
    <numFmt numFmtId="166" formatCode="0&quot;bpm&quot;"/>
    <numFmt numFmtId="167" formatCode="&quot;- &quot;0"/>
    <numFmt numFmtId="168" formatCode="&quot;2x(5x&quot;0&quot;m)&quot;"/>
  </numFmts>
  <fonts count="1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26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1"/>
      <color theme="0"/>
      <name val="Calibri"/>
      <family val="2"/>
    </font>
    <font>
      <b/>
      <sz val="12"/>
      <color theme="0"/>
      <name val="Calibri"/>
      <family val="2"/>
    </font>
    <font>
      <sz val="10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15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/>
      <bottom/>
      <diagonal/>
    </border>
    <border>
      <left/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Alignment="1">
      <alignment horizontal="center" vertical="center"/>
    </xf>
    <xf numFmtId="2" fontId="0" fillId="0" borderId="0" xfId="0" applyNumberFormat="1"/>
    <xf numFmtId="0" fontId="0" fillId="2" borderId="0" xfId="0" applyFill="1"/>
    <xf numFmtId="0" fontId="7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/>
    <xf numFmtId="1" fontId="9" fillId="2" borderId="0" xfId="0" applyNumberFormat="1" applyFont="1" applyFill="1" applyAlignment="1">
      <alignment horizontal="right" wrapText="1"/>
    </xf>
    <xf numFmtId="167" fontId="9" fillId="2" borderId="5" xfId="0" applyNumberFormat="1" applyFont="1" applyFill="1" applyBorder="1" applyAlignment="1">
      <alignment horizontal="left" wrapText="1"/>
    </xf>
    <xf numFmtId="1" fontId="9" fillId="2" borderId="7" xfId="0" applyNumberFormat="1" applyFont="1" applyFill="1" applyBorder="1" applyAlignment="1">
      <alignment horizontal="right" wrapText="1"/>
    </xf>
    <xf numFmtId="167" fontId="9" fillId="2" borderId="8" xfId="0" applyNumberFormat="1" applyFont="1" applyFill="1" applyBorder="1" applyAlignment="1">
      <alignment horizontal="left" wrapText="1"/>
    </xf>
    <xf numFmtId="167" fontId="9" fillId="2" borderId="3" xfId="0" applyNumberFormat="1" applyFont="1" applyFill="1" applyBorder="1" applyAlignment="1">
      <alignment horizontal="left" wrapText="1"/>
    </xf>
    <xf numFmtId="1" fontId="9" fillId="2" borderId="2" xfId="0" applyNumberFormat="1" applyFont="1" applyFill="1" applyBorder="1" applyAlignment="1">
      <alignment horizontal="right" wrapText="1"/>
    </xf>
    <xf numFmtId="0" fontId="3" fillId="2" borderId="1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6" xfId="0" applyFont="1" applyFill="1" applyBorder="1" applyAlignment="1">
      <alignment horizontal="right" vertical="center"/>
    </xf>
    <xf numFmtId="166" fontId="4" fillId="2" borderId="3" xfId="0" applyNumberFormat="1" applyFont="1" applyFill="1" applyBorder="1" applyAlignment="1">
      <alignment horizontal="left" vertical="center"/>
    </xf>
    <xf numFmtId="166" fontId="4" fillId="2" borderId="8" xfId="0" applyNumberFormat="1" applyFont="1" applyFill="1" applyBorder="1" applyAlignment="1">
      <alignment horizontal="left" vertical="center"/>
    </xf>
    <xf numFmtId="0" fontId="2" fillId="4" borderId="9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4" fillId="2" borderId="4" xfId="0" applyFont="1" applyFill="1" applyBorder="1"/>
    <xf numFmtId="0" fontId="4" fillId="2" borderId="6" xfId="0" applyFont="1" applyFill="1" applyBorder="1"/>
    <xf numFmtId="0" fontId="3" fillId="2" borderId="8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/>
    <xf numFmtId="165" fontId="3" fillId="2" borderId="3" xfId="0" applyNumberFormat="1" applyFon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168" fontId="3" fillId="2" borderId="3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3" fillId="3" borderId="5" xfId="0" applyFont="1" applyFill="1" applyBorder="1" applyAlignment="1" applyProtection="1">
      <alignment horizontal="center" vertical="center"/>
      <protection locked="0"/>
    </xf>
    <xf numFmtId="166" fontId="3" fillId="3" borderId="5" xfId="0" applyNumberFormat="1" applyFont="1" applyFill="1" applyBorder="1" applyAlignment="1" applyProtection="1">
      <alignment horizontal="center" vertical="center"/>
      <protection locked="0"/>
    </xf>
    <xf numFmtId="164" fontId="3" fillId="3" borderId="5" xfId="0" applyNumberFormat="1" applyFont="1" applyFill="1" applyBorder="1" applyAlignment="1" applyProtection="1">
      <alignment horizontal="center" vertical="center"/>
      <protection locked="0"/>
    </xf>
    <xf numFmtId="165" fontId="3" fillId="3" borderId="8" xfId="0" quotePrefix="1" applyNumberFormat="1" applyFont="1" applyFill="1" applyBorder="1" applyAlignment="1" applyProtection="1">
      <alignment horizontal="center" vertical="center"/>
      <protection locked="0"/>
    </xf>
    <xf numFmtId="0" fontId="6" fillId="2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2" fillId="4" borderId="1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horizontal="center" vertical="center"/>
    </xf>
    <xf numFmtId="0" fontId="2" fillId="4" borderId="1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wrapText="1"/>
    </xf>
    <xf numFmtId="0" fontId="8" fillId="2" borderId="2" xfId="0" applyFont="1" applyFill="1" applyBorder="1" applyAlignment="1">
      <alignment horizontal="center" wrapText="1"/>
    </xf>
    <xf numFmtId="0" fontId="8" fillId="2" borderId="3" xfId="0" applyFont="1" applyFill="1" applyBorder="1" applyAlignment="1">
      <alignment horizontal="center" wrapText="1"/>
    </xf>
    <xf numFmtId="0" fontId="9" fillId="2" borderId="1" xfId="0" applyFont="1" applyFill="1" applyBorder="1" applyAlignment="1">
      <alignment horizontal="center" wrapText="1"/>
    </xf>
    <xf numFmtId="0" fontId="9" fillId="2" borderId="3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center" wrapText="1"/>
    </xf>
    <xf numFmtId="0" fontId="9" fillId="2" borderId="6" xfId="0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Progression</a:t>
            </a:r>
            <a:r>
              <a:rPr lang="pt-PT" baseline="0"/>
              <a:t> Graphic</a:t>
            </a:r>
            <a:endParaRPr lang="pt-P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'Graph data'!$C$2</c:f>
              <c:strCache>
                <c:ptCount val="1"/>
                <c:pt idx="0">
                  <c:v>Distance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'Graph data'!$B$3:$B$22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'Graph data'!$C$3:$C$22</c:f>
              <c:numCache>
                <c:formatCode>0.00</c:formatCode>
                <c:ptCount val="20"/>
                <c:pt idx="1">
                  <c:v>0</c:v>
                </c:pt>
                <c:pt idx="3">
                  <c:v>0</c:v>
                </c:pt>
                <c:pt idx="5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01-4554-BA97-649813093719}"/>
            </c:ext>
          </c:extLst>
        </c:ser>
        <c:ser>
          <c:idx val="1"/>
          <c:order val="1"/>
          <c:tx>
            <c:strRef>
              <c:f>'Graph data'!$D$2</c:f>
              <c:strCache>
                <c:ptCount val="1"/>
                <c:pt idx="0">
                  <c:v>Load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'Graph data'!$B$3:$B$22</c:f>
              <c:numCache>
                <c:formatCode>General</c:formatCode>
                <c:ptCount val="2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</c:numCache>
            </c:numRef>
          </c:cat>
          <c:val>
            <c:numRef>
              <c:f>'Graph data'!$D$3:$D$22</c:f>
              <c:numCache>
                <c:formatCode>0.00</c:formatCode>
                <c:ptCount val="20"/>
                <c:pt idx="1">
                  <c:v>0</c:v>
                </c:pt>
                <c:pt idx="3">
                  <c:v>0</c:v>
                </c:pt>
                <c:pt idx="5">
                  <c:v>0</c:v>
                </c:pt>
                <c:pt idx="7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01-4554-BA97-649813093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02600368"/>
        <c:axId val="802598208"/>
      </c:barChart>
      <c:catAx>
        <c:axId val="8026003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PT"/>
                  <a:t>Weeks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P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802598208"/>
        <c:crosses val="autoZero"/>
        <c:auto val="1"/>
        <c:lblAlgn val="ctr"/>
        <c:lblOffset val="100"/>
        <c:noMultiLvlLbl val="0"/>
      </c:catAx>
      <c:valAx>
        <c:axId val="802598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PT"/>
          </a:p>
        </c:txPr>
        <c:crossAx val="802600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xultx.com/" TargetMode="Externa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hyperlink" Target="https://www.exultx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293216</xdr:colOff>
      <xdr:row>16</xdr:row>
      <xdr:rowOff>498887</xdr:rowOff>
    </xdr:from>
    <xdr:to>
      <xdr:col>12</xdr:col>
      <xdr:colOff>38159</xdr:colOff>
      <xdr:row>37</xdr:row>
      <xdr:rowOff>4362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0701C11-AFF4-4F5E-9134-8732DA69F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100889</xdr:colOff>
      <xdr:row>0</xdr:row>
      <xdr:rowOff>97325</xdr:rowOff>
    </xdr:from>
    <xdr:to>
      <xdr:col>2</xdr:col>
      <xdr:colOff>172104</xdr:colOff>
      <xdr:row>7</xdr:row>
      <xdr:rowOff>103259</xdr:rowOff>
    </xdr:to>
    <xdr:pic>
      <xdr:nvPicPr>
        <xdr:cNvPr id="4" name="Imagem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B070F84-9957-30E1-C7E9-1B9B808770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889" y="97325"/>
          <a:ext cx="1293738" cy="1293738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730988</xdr:colOff>
      <xdr:row>0</xdr:row>
      <xdr:rowOff>191976</xdr:rowOff>
    </xdr:from>
    <xdr:to>
      <xdr:col>11</xdr:col>
      <xdr:colOff>1417674</xdr:colOff>
      <xdr:row>8</xdr:row>
      <xdr:rowOff>75084</xdr:rowOff>
    </xdr:to>
    <xdr:pic>
      <xdr:nvPicPr>
        <xdr:cNvPr id="2" name="Imagem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947AF7-5469-456C-8F78-BFAB3EE69D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82965" y="191976"/>
          <a:ext cx="1705639" cy="1721655"/>
        </a:xfrm>
        <a:prstGeom prst="roundRect">
          <a:avLst>
            <a:gd name="adj" fmla="val 8594"/>
          </a:avLst>
        </a:prstGeom>
        <a:solidFill>
          <a:srgbClr val="FFFFFF">
            <a:shade val="85000"/>
          </a:srgbClr>
        </a:solidFill>
        <a:ln>
          <a:noFill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FC5012-5B70-482F-941D-BA0A6772B2C2}">
  <dimension ref="A1:M39"/>
  <sheetViews>
    <sheetView showGridLines="0" showRowColHeaders="0" tabSelected="1" view="pageBreakPreview" zoomScaleNormal="100" workbookViewId="0">
      <selection activeCell="M1" sqref="M1"/>
    </sheetView>
  </sheetViews>
  <sheetFormatPr defaultRowHeight="14"/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>
      <c r="A3" s="36" t="s">
        <v>61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</row>
    <row r="4" spans="1:13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</row>
    <row r="5" spans="1:1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>
      <c r="A8" s="3"/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18">
      <c r="A9" s="4" t="s">
        <v>49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</row>
    <row r="10" spans="1:13">
      <c r="A10" s="37" t="s">
        <v>50</v>
      </c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</row>
    <row r="11" spans="1:13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  <c r="M11" s="38"/>
    </row>
    <row r="12" spans="1:13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</row>
    <row r="13" spans="1:13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</row>
    <row r="14" spans="1:13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</row>
    <row r="15" spans="1:13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</row>
    <row r="16" spans="1:13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</row>
    <row r="17" spans="1:13" ht="57" customHeight="1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</row>
    <row r="18" spans="1:1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  <row r="38" spans="1:13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</row>
    <row r="39" spans="1:13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</row>
  </sheetData>
  <sheetProtection algorithmName="SHA-512" hashValue="Gjk7yrpkViWRLrtxa6pka2VVf7IYridFeEbZ7Ca4bE4lumRiEcX7J+BqjAmWtiNEOGBfVwvKZ5nVwIvCDq8Wtg==" saltValue="kqlsYR3qdpr5kS2hRu/5zg==" spinCount="100000" sheet="1" objects="1" scenarios="1"/>
  <mergeCells count="2">
    <mergeCell ref="A3:M5"/>
    <mergeCell ref="A10:M17"/>
  </mergeCells>
  <pageMargins left="0.7" right="0.7" top="0.75" bottom="0.75" header="0.3" footer="0.3"/>
  <pageSetup paperSize="9" scale="7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3C130F-A5F1-4F59-B71D-13CAD5D42D18}">
  <dimension ref="A1:N74"/>
  <sheetViews>
    <sheetView showGridLines="0" showRowColHeaders="0" view="pageBreakPreview" zoomScale="80" zoomScaleNormal="90" workbookViewId="0">
      <selection activeCell="J6" sqref="J6"/>
    </sheetView>
  </sheetViews>
  <sheetFormatPr defaultRowHeight="14"/>
  <cols>
    <col min="1" max="1" width="21.4140625" customWidth="1"/>
    <col min="2" max="2" width="11.4140625" customWidth="1"/>
    <col min="3" max="3" width="9.75" style="1" customWidth="1"/>
    <col min="4" max="4" width="17.83203125" customWidth="1"/>
    <col min="5" max="5" width="16.75" customWidth="1"/>
    <col min="6" max="6" width="19.6640625" customWidth="1"/>
    <col min="7" max="7" width="14.9140625" customWidth="1"/>
    <col min="8" max="8" width="15.83203125" customWidth="1"/>
    <col min="9" max="9" width="11.83203125" customWidth="1"/>
    <col min="10" max="10" width="14.08203125" customWidth="1"/>
    <col min="11" max="11" width="14.5" customWidth="1"/>
    <col min="12" max="12" width="24.6640625" customWidth="1"/>
    <col min="13" max="13" width="4.9140625" customWidth="1"/>
    <col min="14" max="14" width="3.08203125" customWidth="1"/>
  </cols>
  <sheetData>
    <row r="1" spans="1:14" ht="20" customHeight="1" thickBot="1">
      <c r="A1" s="13" t="s">
        <v>30</v>
      </c>
      <c r="B1" s="35" t="s">
        <v>46</v>
      </c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pans="1:14" ht="31" customHeight="1" thickBot="1">
      <c r="A2" s="14" t="s">
        <v>33</v>
      </c>
      <c r="B2" s="30" t="s">
        <v>46</v>
      </c>
      <c r="C2" s="5"/>
      <c r="D2" s="6"/>
      <c r="E2" s="55" t="s">
        <v>51</v>
      </c>
      <c r="F2" s="56"/>
      <c r="G2" s="56"/>
      <c r="H2" s="57"/>
      <c r="I2" s="6"/>
      <c r="J2" s="6"/>
      <c r="K2" s="6"/>
      <c r="L2" s="6"/>
      <c r="M2" s="6"/>
      <c r="N2" s="6"/>
    </row>
    <row r="3" spans="1:14" ht="15.5">
      <c r="A3" s="14" t="s">
        <v>34</v>
      </c>
      <c r="B3" s="30">
        <v>0</v>
      </c>
      <c r="C3" s="5"/>
      <c r="D3" s="6"/>
      <c r="E3" s="58" t="s">
        <v>35</v>
      </c>
      <c r="F3" s="59"/>
      <c r="G3" s="12" t="str">
        <f>IF(B10="-","-",
B10*0.5+B4)</f>
        <v>-</v>
      </c>
      <c r="H3" s="11" t="str">
        <f>IF(B10="-","-",
B10*0.6+B4)</f>
        <v>-</v>
      </c>
      <c r="I3" s="6"/>
      <c r="J3" s="6"/>
      <c r="K3" s="6"/>
      <c r="L3" s="6"/>
      <c r="M3" s="6"/>
      <c r="N3" s="6"/>
    </row>
    <row r="4" spans="1:14" ht="15.5">
      <c r="A4" s="14" t="s">
        <v>41</v>
      </c>
      <c r="B4" s="31">
        <v>0</v>
      </c>
      <c r="C4" s="49" t="s">
        <v>60</v>
      </c>
      <c r="D4" s="50"/>
      <c r="E4" s="60" t="s">
        <v>36</v>
      </c>
      <c r="F4" s="61"/>
      <c r="G4" s="7" t="str">
        <f>IF(B10="-","-",
B10*0.61+B4)</f>
        <v>-</v>
      </c>
      <c r="H4" s="8" t="str">
        <f>IF(B10="-","-",
B10*0.7+B4)</f>
        <v>-</v>
      </c>
      <c r="I4" s="6"/>
      <c r="J4" s="6"/>
      <c r="K4" s="6"/>
      <c r="L4" s="6"/>
      <c r="M4" s="6"/>
      <c r="N4" s="6"/>
    </row>
    <row r="5" spans="1:14" ht="15.5" customHeight="1">
      <c r="A5" s="14" t="s">
        <v>31</v>
      </c>
      <c r="B5" s="32">
        <v>0</v>
      </c>
      <c r="C5" s="49"/>
      <c r="D5" s="50"/>
      <c r="E5" s="60" t="s">
        <v>37</v>
      </c>
      <c r="F5" s="61"/>
      <c r="G5" s="7" t="str">
        <f>IF(B10="-","-",
B10*0.71+B4)</f>
        <v>-</v>
      </c>
      <c r="H5" s="8" t="str">
        <f>IF(B10="-","-",
B10*0.8+B4)</f>
        <v>-</v>
      </c>
      <c r="I5" s="6"/>
      <c r="J5" s="6"/>
      <c r="K5" s="6"/>
      <c r="L5" s="6"/>
      <c r="M5" s="6"/>
      <c r="N5" s="6"/>
    </row>
    <row r="6" spans="1:14" ht="15.5" customHeight="1">
      <c r="A6" s="14" t="s">
        <v>59</v>
      </c>
      <c r="B6" s="32">
        <v>0</v>
      </c>
      <c r="C6" s="49"/>
      <c r="D6" s="50"/>
      <c r="E6" s="60" t="s">
        <v>38</v>
      </c>
      <c r="F6" s="61"/>
      <c r="G6" s="7" t="str">
        <f>IF(B10="-","-",
B10*0.81+B4)</f>
        <v>-</v>
      </c>
      <c r="H6" s="8" t="str">
        <f>IF(B10="-","-",
B10*0.9+B4)</f>
        <v>-</v>
      </c>
      <c r="I6" s="6"/>
      <c r="J6" s="6"/>
      <c r="K6" s="6"/>
      <c r="L6" s="6"/>
      <c r="M6" s="6"/>
      <c r="N6" s="6"/>
    </row>
    <row r="7" spans="1:14" ht="16" thickBot="1">
      <c r="A7" s="15" t="s">
        <v>32</v>
      </c>
      <c r="B7" s="33">
        <v>0</v>
      </c>
      <c r="C7" s="49"/>
      <c r="D7" s="50"/>
      <c r="E7" s="62" t="s">
        <v>39</v>
      </c>
      <c r="F7" s="63"/>
      <c r="G7" s="9" t="str">
        <f>IF(B10="-","-",
B10*0.91+B4)</f>
        <v>-</v>
      </c>
      <c r="H7" s="10" t="str">
        <f>IF(B10="-","-",
B10*1+B4)</f>
        <v>-</v>
      </c>
      <c r="I7" s="6"/>
      <c r="J7" s="6"/>
      <c r="K7" s="6"/>
      <c r="L7" s="6"/>
      <c r="M7" s="6"/>
      <c r="N7" s="6"/>
    </row>
    <row r="8" spans="1:14" ht="14.5" thickBot="1">
      <c r="A8" s="3"/>
      <c r="B8" s="3"/>
      <c r="C8" s="5"/>
      <c r="D8" s="6"/>
      <c r="E8" s="6"/>
      <c r="F8" s="6"/>
      <c r="G8" s="6"/>
      <c r="H8" s="6"/>
      <c r="I8" s="6"/>
      <c r="J8" s="6"/>
      <c r="K8" s="6"/>
      <c r="L8" s="6"/>
      <c r="M8" s="6"/>
      <c r="N8" s="6"/>
    </row>
    <row r="9" spans="1:14">
      <c r="A9" s="13" t="s">
        <v>40</v>
      </c>
      <c r="B9" s="16" t="str" cm="1">
        <f t="array" ref="B9">_xlfn.IFS(B3="","-",
B2="-","-",
     B2="F",206-(0.88*B3),
     B2="M",208-(0.7*B3))</f>
        <v>-</v>
      </c>
      <c r="C9" s="5"/>
      <c r="D9" s="6"/>
      <c r="E9" s="6"/>
      <c r="F9" s="6"/>
      <c r="G9" s="6"/>
      <c r="H9" s="6"/>
      <c r="I9" s="6"/>
      <c r="J9" s="6"/>
      <c r="K9" s="6"/>
      <c r="L9" s="6"/>
      <c r="M9" s="6"/>
      <c r="N9" s="6"/>
    </row>
    <row r="10" spans="1:14" ht="14.5" thickBot="1">
      <c r="A10" s="15" t="s">
        <v>42</v>
      </c>
      <c r="B10" s="17" t="str" cm="1">
        <f t="array" ref="B10">_xlfn.IFS(
B9="-","-",
B4=0,"-",
B4="-","-",
B4="","-",
AND(B9&gt;0,B4&gt;0),B9-B4)</f>
        <v>-</v>
      </c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14.5" customHeight="1" thickBot="1">
      <c r="A11" s="3"/>
      <c r="B11" s="3"/>
      <c r="C11" s="5"/>
      <c r="D11" s="18" t="s">
        <v>21</v>
      </c>
      <c r="E11" s="19" t="s">
        <v>22</v>
      </c>
      <c r="F11" s="19" t="s">
        <v>23</v>
      </c>
      <c r="G11" s="19" t="s">
        <v>24</v>
      </c>
      <c r="H11" s="19" t="s">
        <v>25</v>
      </c>
      <c r="I11" s="19" t="s">
        <v>26</v>
      </c>
      <c r="J11" s="20" t="s">
        <v>21</v>
      </c>
      <c r="K11" s="53" t="s">
        <v>62</v>
      </c>
      <c r="L11" s="54"/>
      <c r="M11" s="6"/>
      <c r="N11" s="6"/>
    </row>
    <row r="12" spans="1:14" ht="14.5" customHeight="1">
      <c r="A12" s="51" t="s">
        <v>63</v>
      </c>
      <c r="B12" s="52"/>
      <c r="C12" s="40" t="s">
        <v>0</v>
      </c>
      <c r="D12" s="24" t="s">
        <v>52</v>
      </c>
      <c r="E12" s="24" t="s">
        <v>27</v>
      </c>
      <c r="F12" s="24" t="s">
        <v>53</v>
      </c>
      <c r="G12" s="24" t="s">
        <v>52</v>
      </c>
      <c r="H12" s="24" t="s">
        <v>29</v>
      </c>
      <c r="I12" s="24" t="s">
        <v>53</v>
      </c>
      <c r="J12" s="24" t="s">
        <v>27</v>
      </c>
      <c r="K12" s="43"/>
      <c r="L12" s="44"/>
      <c r="M12" s="6"/>
      <c r="N12" s="6"/>
    </row>
    <row r="13" spans="1:14" ht="15" customHeight="1">
      <c r="A13" s="51"/>
      <c r="B13" s="52"/>
      <c r="C13" s="41"/>
      <c r="D13" s="5"/>
      <c r="E13" s="5"/>
      <c r="F13" s="5" t="s">
        <v>54</v>
      </c>
      <c r="G13" s="5"/>
      <c r="H13" s="5"/>
      <c r="I13" s="5" t="s">
        <v>56</v>
      </c>
      <c r="J13" s="5"/>
      <c r="K13" s="45"/>
      <c r="L13" s="46"/>
      <c r="M13" s="6"/>
      <c r="N13" s="6"/>
    </row>
    <row r="14" spans="1:14" ht="14.5" customHeight="1" thickBot="1">
      <c r="A14" s="51"/>
      <c r="B14" s="52"/>
      <c r="C14" s="42"/>
      <c r="D14" s="29"/>
      <c r="E14" s="29"/>
      <c r="F14" s="29"/>
      <c r="G14" s="29"/>
      <c r="H14" s="29"/>
      <c r="I14" s="29"/>
      <c r="J14" s="29"/>
      <c r="K14" s="47"/>
      <c r="L14" s="48"/>
      <c r="M14" s="6"/>
      <c r="N14" s="6"/>
    </row>
    <row r="15" spans="1:14" ht="14.5" customHeight="1">
      <c r="A15" s="51"/>
      <c r="B15" s="52"/>
      <c r="C15" s="40" t="s">
        <v>1</v>
      </c>
      <c r="D15" s="34" t="s">
        <v>28</v>
      </c>
      <c r="E15" s="24" t="s">
        <v>52</v>
      </c>
      <c r="F15" s="24" t="s">
        <v>27</v>
      </c>
      <c r="G15" s="24" t="s">
        <v>53</v>
      </c>
      <c r="H15" s="24" t="s">
        <v>29</v>
      </c>
      <c r="I15" s="24" t="s">
        <v>27</v>
      </c>
      <c r="J15" s="24" t="s">
        <v>53</v>
      </c>
      <c r="K15" s="25" t="s">
        <v>43</v>
      </c>
      <c r="L15" s="26">
        <f>IF(B7&lt;13,B7*(2.5/10),(B7*(1.5/10)))</f>
        <v>0</v>
      </c>
      <c r="M15" s="6"/>
      <c r="N15" s="6"/>
    </row>
    <row r="16" spans="1:14" ht="15" customHeight="1">
      <c r="A16" s="51"/>
      <c r="B16" s="52"/>
      <c r="C16" s="41"/>
      <c r="D16" s="5"/>
      <c r="E16" s="5"/>
      <c r="F16" s="5"/>
      <c r="G16" s="5" t="s">
        <v>55</v>
      </c>
      <c r="H16" s="5"/>
      <c r="I16" s="5"/>
      <c r="J16" s="5" t="s">
        <v>54</v>
      </c>
      <c r="K16" s="21" t="s">
        <v>44</v>
      </c>
      <c r="L16" s="27">
        <f xml:space="preserve"> (B5 * 0.28 * IF(B1="Beginner", 0.4, IF(B1="Intermediate", 0.6, 0.8)) * IF(B2="M", 1.15, 1))
+ ((B6 - (B5 * 0.1 * IF(B1="Beginner", 0.4, IF(B1="Intermediate", 0.6, 0.8)) * IF(B2="M", 1.15, 1))) / 9) * (1 - 1)</f>
        <v>0</v>
      </c>
      <c r="M16" s="6"/>
      <c r="N16" s="6"/>
    </row>
    <row r="17" spans="1:14" ht="14.5" customHeight="1" thickBot="1">
      <c r="A17" s="51"/>
      <c r="B17" s="52"/>
      <c r="C17" s="42"/>
      <c r="D17" s="29"/>
      <c r="E17" s="29"/>
      <c r="F17" s="29"/>
      <c r="G17" s="29"/>
      <c r="H17" s="29"/>
      <c r="I17" s="29"/>
      <c r="J17" s="29"/>
      <c r="K17" s="22" t="s">
        <v>45</v>
      </c>
      <c r="L17" s="23" t="str">
        <f>IF(G3="-","-","Z4")</f>
        <v>-</v>
      </c>
      <c r="M17" s="6"/>
      <c r="N17" s="6"/>
    </row>
    <row r="18" spans="1:14" ht="14.5" customHeight="1">
      <c r="A18" s="51"/>
      <c r="B18" s="52"/>
      <c r="C18" s="40" t="s">
        <v>2</v>
      </c>
      <c r="D18" s="24" t="s">
        <v>52</v>
      </c>
      <c r="E18" s="24" t="s">
        <v>27</v>
      </c>
      <c r="F18" s="24" t="s">
        <v>53</v>
      </c>
      <c r="G18" s="24" t="s">
        <v>52</v>
      </c>
      <c r="H18" s="24" t="s">
        <v>29</v>
      </c>
      <c r="I18" s="24" t="s">
        <v>53</v>
      </c>
      <c r="J18" s="24" t="s">
        <v>27</v>
      </c>
      <c r="K18" s="43"/>
      <c r="L18" s="44"/>
      <c r="M18" s="6"/>
      <c r="N18" s="6"/>
    </row>
    <row r="19" spans="1:14" ht="15" customHeight="1">
      <c r="A19" s="51"/>
      <c r="B19" s="52"/>
      <c r="C19" s="41"/>
      <c r="D19" s="5"/>
      <c r="E19" s="5"/>
      <c r="F19" s="5" t="s">
        <v>58</v>
      </c>
      <c r="G19" s="5"/>
      <c r="H19" s="5"/>
      <c r="I19" s="5" t="s">
        <v>56</v>
      </c>
      <c r="J19" s="5"/>
      <c r="K19" s="45"/>
      <c r="L19" s="46"/>
      <c r="M19" s="6"/>
      <c r="N19" s="6"/>
    </row>
    <row r="20" spans="1:14" ht="14.5" customHeight="1" thickBot="1">
      <c r="A20" s="51"/>
      <c r="B20" s="52"/>
      <c r="C20" s="42"/>
      <c r="D20" s="29"/>
      <c r="E20" s="29"/>
      <c r="F20" s="29"/>
      <c r="G20" s="29"/>
      <c r="H20" s="29"/>
      <c r="I20" s="29"/>
      <c r="J20" s="29"/>
      <c r="K20" s="47"/>
      <c r="L20" s="48"/>
      <c r="M20" s="6"/>
      <c r="N20" s="6"/>
    </row>
    <row r="21" spans="1:14" ht="14.5" customHeight="1">
      <c r="A21" s="51"/>
      <c r="B21" s="52"/>
      <c r="C21" s="40" t="s">
        <v>3</v>
      </c>
      <c r="D21" s="34" t="s">
        <v>28</v>
      </c>
      <c r="E21" s="24" t="s">
        <v>52</v>
      </c>
      <c r="F21" s="24" t="s">
        <v>27</v>
      </c>
      <c r="G21" s="24" t="s">
        <v>53</v>
      </c>
      <c r="H21" s="24" t="s">
        <v>29</v>
      </c>
      <c r="I21" s="24" t="s">
        <v>27</v>
      </c>
      <c r="J21" s="24" t="s">
        <v>53</v>
      </c>
      <c r="K21" s="25" t="s">
        <v>43</v>
      </c>
      <c r="L21" s="26">
        <f>IF(B7&lt;13,B7*(2.75/10),(B7*(2/10)))</f>
        <v>0</v>
      </c>
      <c r="M21" s="6"/>
      <c r="N21" s="6"/>
    </row>
    <row r="22" spans="1:14" ht="15" customHeight="1">
      <c r="A22" s="51"/>
      <c r="B22" s="52"/>
      <c r="C22" s="41"/>
      <c r="D22" s="5"/>
      <c r="E22" s="5"/>
      <c r="F22" s="5"/>
      <c r="G22" s="5" t="s">
        <v>55</v>
      </c>
      <c r="H22" s="5"/>
      <c r="I22" s="5"/>
      <c r="J22" s="5" t="s">
        <v>54</v>
      </c>
      <c r="K22" s="21" t="s">
        <v>44</v>
      </c>
      <c r="L22" s="27">
        <f xml:space="preserve"> (B5 * 0.28 * IF(B1="Beginner", 0.4, IF(B1="Intermediate", 0.6, 0.8)) * IF(B2="M", 1.15, 1))
+ ((B6 - (B5 * 0.1 * IF(B1="Beginner", 0.4, IF(B1="Intermediate", 0.6, 0.8)) * IF(B2="M", 1.15, 1))) / 9) * (2 - 1)</f>
        <v>0</v>
      </c>
      <c r="M22" s="6"/>
      <c r="N22" s="6"/>
    </row>
    <row r="23" spans="1:14" ht="14.5" customHeight="1" thickBot="1">
      <c r="A23" s="51"/>
      <c r="B23" s="52"/>
      <c r="C23" s="42"/>
      <c r="D23" s="29"/>
      <c r="E23" s="29"/>
      <c r="F23" s="29"/>
      <c r="G23" s="29"/>
      <c r="H23" s="29"/>
      <c r="I23" s="29"/>
      <c r="J23" s="29"/>
      <c r="K23" s="22" t="s">
        <v>45</v>
      </c>
      <c r="L23" s="23" t="str">
        <f>IF(G3="-","-","Z4")</f>
        <v>-</v>
      </c>
      <c r="M23" s="6"/>
      <c r="N23" s="6"/>
    </row>
    <row r="24" spans="1:14" ht="14.5" customHeight="1">
      <c r="A24" s="51"/>
      <c r="B24" s="52"/>
      <c r="C24" s="40" t="s">
        <v>4</v>
      </c>
      <c r="D24" s="24" t="s">
        <v>52</v>
      </c>
      <c r="E24" s="24" t="s">
        <v>27</v>
      </c>
      <c r="F24" s="24" t="s">
        <v>53</v>
      </c>
      <c r="G24" s="24" t="s">
        <v>52</v>
      </c>
      <c r="H24" s="24" t="s">
        <v>29</v>
      </c>
      <c r="I24" s="24" t="s">
        <v>53</v>
      </c>
      <c r="J24" s="24" t="s">
        <v>27</v>
      </c>
      <c r="K24" s="43"/>
      <c r="L24" s="44"/>
      <c r="M24" s="6"/>
      <c r="N24" s="6"/>
    </row>
    <row r="25" spans="1:14" ht="15" customHeight="1">
      <c r="A25" s="51"/>
      <c r="B25" s="52"/>
      <c r="C25" s="41"/>
      <c r="D25" s="5"/>
      <c r="E25" s="5"/>
      <c r="F25" s="5" t="s">
        <v>58</v>
      </c>
      <c r="G25" s="5"/>
      <c r="H25" s="5"/>
      <c r="I25" s="5" t="s">
        <v>56</v>
      </c>
      <c r="J25" s="5"/>
      <c r="K25" s="45"/>
      <c r="L25" s="46"/>
      <c r="M25" s="6"/>
      <c r="N25" s="6"/>
    </row>
    <row r="26" spans="1:14" ht="14.5" customHeight="1" thickBot="1">
      <c r="A26" s="51"/>
      <c r="B26" s="52"/>
      <c r="C26" s="42"/>
      <c r="D26" s="29"/>
      <c r="E26" s="29"/>
      <c r="F26" s="29"/>
      <c r="G26" s="29"/>
      <c r="H26" s="29"/>
      <c r="I26" s="29"/>
      <c r="J26" s="29"/>
      <c r="K26" s="47"/>
      <c r="L26" s="48"/>
      <c r="M26" s="6"/>
      <c r="N26" s="6"/>
    </row>
    <row r="27" spans="1:14" ht="14.5" customHeight="1">
      <c r="A27" s="51"/>
      <c r="B27" s="52"/>
      <c r="C27" s="40" t="s">
        <v>5</v>
      </c>
      <c r="D27" s="34" t="s">
        <v>28</v>
      </c>
      <c r="E27" s="24" t="s">
        <v>52</v>
      </c>
      <c r="F27" s="24" t="s">
        <v>27</v>
      </c>
      <c r="G27" s="24" t="s">
        <v>53</v>
      </c>
      <c r="H27" s="24" t="s">
        <v>29</v>
      </c>
      <c r="I27" s="24" t="s">
        <v>27</v>
      </c>
      <c r="J27" s="24" t="s">
        <v>53</v>
      </c>
      <c r="K27" s="25" t="s">
        <v>43</v>
      </c>
      <c r="L27" s="26">
        <f>IF(B7&lt;13,B7*(3.25/10),(B7*(3/10)))</f>
        <v>0</v>
      </c>
      <c r="M27" s="6"/>
      <c r="N27" s="6"/>
    </row>
    <row r="28" spans="1:14" ht="15" customHeight="1">
      <c r="A28" s="51"/>
      <c r="B28" s="52"/>
      <c r="C28" s="41"/>
      <c r="D28" s="5"/>
      <c r="E28" s="5"/>
      <c r="F28" s="5"/>
      <c r="G28" s="5" t="s">
        <v>55</v>
      </c>
      <c r="H28" s="5"/>
      <c r="I28" s="5"/>
      <c r="J28" s="5" t="s">
        <v>54</v>
      </c>
      <c r="K28" s="21" t="s">
        <v>44</v>
      </c>
      <c r="L28" s="27">
        <f xml:space="preserve"> (B5 * 0.28 * IF(B1="Beginner", 0.4, IF(B1="Intermediate", 0.6, 0.8)) * IF(B2="M", 1.15, 1))
+ ((B6 - (B5 * 0.1 * IF(B1="Beginner", 0.4, IF(B1="Intermediate", 0.6, 0.8)) * IF(B2="M", 1.15, 1))) / 9) * (3 - 1)</f>
        <v>0</v>
      </c>
      <c r="M28" s="6"/>
      <c r="N28" s="6"/>
    </row>
    <row r="29" spans="1:14" ht="14.5" customHeight="1" thickBot="1">
      <c r="A29" s="51"/>
      <c r="B29" s="52"/>
      <c r="C29" s="42"/>
      <c r="D29" s="29"/>
      <c r="E29" s="29"/>
      <c r="F29" s="29"/>
      <c r="G29" s="29"/>
      <c r="H29" s="29"/>
      <c r="I29" s="29"/>
      <c r="J29" s="29"/>
      <c r="K29" s="22" t="s">
        <v>45</v>
      </c>
      <c r="L29" s="23" t="str">
        <f>IF(G3="-","-","Z4")</f>
        <v>-</v>
      </c>
      <c r="M29" s="6"/>
      <c r="N29" s="6"/>
    </row>
    <row r="30" spans="1:14" ht="14.5" customHeight="1">
      <c r="A30" s="51"/>
      <c r="B30" s="52"/>
      <c r="C30" s="40" t="s">
        <v>6</v>
      </c>
      <c r="D30" s="24" t="s">
        <v>52</v>
      </c>
      <c r="E30" s="24" t="s">
        <v>27</v>
      </c>
      <c r="F30" s="24" t="s">
        <v>53</v>
      </c>
      <c r="G30" s="24" t="s">
        <v>52</v>
      </c>
      <c r="H30" s="24" t="s">
        <v>29</v>
      </c>
      <c r="I30" s="24" t="s">
        <v>53</v>
      </c>
      <c r="J30" s="24" t="s">
        <v>27</v>
      </c>
      <c r="K30" s="43"/>
      <c r="L30" s="44"/>
      <c r="M30" s="6"/>
      <c r="N30" s="6"/>
    </row>
    <row r="31" spans="1:14" ht="15" customHeight="1">
      <c r="A31" s="51"/>
      <c r="B31" s="52"/>
      <c r="C31" s="41"/>
      <c r="D31" s="5"/>
      <c r="E31" s="5"/>
      <c r="F31" s="5" t="s">
        <v>58</v>
      </c>
      <c r="G31" s="5"/>
      <c r="H31" s="5"/>
      <c r="I31" s="5" t="s">
        <v>56</v>
      </c>
      <c r="J31" s="5"/>
      <c r="K31" s="45"/>
      <c r="L31" s="46"/>
      <c r="M31" s="6"/>
      <c r="N31" s="6"/>
    </row>
    <row r="32" spans="1:14" ht="14.5" customHeight="1" thickBot="1">
      <c r="A32" s="51"/>
      <c r="B32" s="52"/>
      <c r="C32" s="42"/>
      <c r="D32" s="29"/>
      <c r="E32" s="29"/>
      <c r="F32" s="29"/>
      <c r="G32" s="29"/>
      <c r="H32" s="29"/>
      <c r="I32" s="29"/>
      <c r="J32" s="29"/>
      <c r="K32" s="47"/>
      <c r="L32" s="48"/>
      <c r="M32" s="6"/>
      <c r="N32" s="6"/>
    </row>
    <row r="33" spans="1:14" ht="14.5" customHeight="1">
      <c r="A33" s="51"/>
      <c r="B33" s="52"/>
      <c r="C33" s="40" t="s">
        <v>7</v>
      </c>
      <c r="D33" s="34" t="s">
        <v>28</v>
      </c>
      <c r="E33" s="24" t="s">
        <v>52</v>
      </c>
      <c r="F33" s="24" t="s">
        <v>27</v>
      </c>
      <c r="G33" s="24" t="s">
        <v>53</v>
      </c>
      <c r="H33" s="24" t="s">
        <v>29</v>
      </c>
      <c r="I33" s="24" t="s">
        <v>27</v>
      </c>
      <c r="J33" s="24" t="s">
        <v>53</v>
      </c>
      <c r="K33" s="25" t="s">
        <v>43</v>
      </c>
      <c r="L33" s="26">
        <f>IF(B7&lt;13,B7*(4/10),(B7*(4.5/10)))</f>
        <v>0</v>
      </c>
      <c r="M33" s="6"/>
      <c r="N33" s="6"/>
    </row>
    <row r="34" spans="1:14" ht="15" customHeight="1">
      <c r="A34" s="51"/>
      <c r="B34" s="52"/>
      <c r="C34" s="41"/>
      <c r="D34" s="5"/>
      <c r="E34" s="5"/>
      <c r="F34" s="5"/>
      <c r="G34" s="5" t="s">
        <v>55</v>
      </c>
      <c r="H34" s="5"/>
      <c r="I34" s="5"/>
      <c r="J34" s="5" t="s">
        <v>54</v>
      </c>
      <c r="K34" s="21" t="s">
        <v>44</v>
      </c>
      <c r="L34" s="27">
        <f xml:space="preserve"> (B5 * 0.2 * IF(B1="Beginner", 0.4, IF(B1="Intermediate", 0.6, 0.8)) * IF(B2="M", 1.15, 1))
+ ((B6 - (B5 * 0.1 * IF(B1="Beginner", 0.4, IF(B1="Intermediate", 0.6, 0.8)) * IF(B2="M", 1.15, 1))) / 9) * (4 - 1)</f>
        <v>0</v>
      </c>
      <c r="M34" s="6"/>
      <c r="N34" s="6"/>
    </row>
    <row r="35" spans="1:14" ht="14.5" customHeight="1" thickBot="1">
      <c r="A35" s="51"/>
      <c r="B35" s="52"/>
      <c r="C35" s="42"/>
      <c r="D35" s="29"/>
      <c r="E35" s="29"/>
      <c r="F35" s="29"/>
      <c r="G35" s="29"/>
      <c r="H35" s="29"/>
      <c r="I35" s="29"/>
      <c r="J35" s="29"/>
      <c r="K35" s="22" t="s">
        <v>45</v>
      </c>
      <c r="L35" s="23" t="str">
        <f>IF(G3="-","-","Z4")</f>
        <v>-</v>
      </c>
      <c r="M35" s="6"/>
      <c r="N35" s="6"/>
    </row>
    <row r="36" spans="1:14" ht="14.5" customHeight="1">
      <c r="A36" s="6"/>
      <c r="B36" s="39"/>
      <c r="C36" s="40" t="s">
        <v>8</v>
      </c>
      <c r="D36" s="24" t="s">
        <v>52</v>
      </c>
      <c r="E36" s="24" t="s">
        <v>27</v>
      </c>
      <c r="F36" s="24" t="s">
        <v>53</v>
      </c>
      <c r="G36" s="24" t="s">
        <v>52</v>
      </c>
      <c r="H36" s="24" t="s">
        <v>29</v>
      </c>
      <c r="I36" s="24" t="s">
        <v>53</v>
      </c>
      <c r="J36" s="24" t="s">
        <v>27</v>
      </c>
      <c r="K36" s="43"/>
      <c r="L36" s="44"/>
      <c r="M36" s="6"/>
      <c r="N36" s="6"/>
    </row>
    <row r="37" spans="1:14" ht="15" customHeight="1">
      <c r="A37" s="6"/>
      <c r="B37" s="39"/>
      <c r="C37" s="41"/>
      <c r="D37" s="5"/>
      <c r="E37" s="5"/>
      <c r="F37" s="5" t="s">
        <v>58</v>
      </c>
      <c r="G37" s="5"/>
      <c r="H37" s="5"/>
      <c r="I37" s="5" t="s">
        <v>56</v>
      </c>
      <c r="J37" s="5"/>
      <c r="K37" s="45"/>
      <c r="L37" s="46"/>
      <c r="M37" s="6"/>
      <c r="N37" s="6"/>
    </row>
    <row r="38" spans="1:14" ht="14.5" customHeight="1" thickBot="1">
      <c r="A38" s="6"/>
      <c r="B38" s="39"/>
      <c r="C38" s="42"/>
      <c r="D38" s="29"/>
      <c r="E38" s="29"/>
      <c r="F38" s="29"/>
      <c r="G38" s="29"/>
      <c r="H38" s="29"/>
      <c r="I38" s="29"/>
      <c r="J38" s="29"/>
      <c r="K38" s="47"/>
      <c r="L38" s="48"/>
      <c r="M38" s="6"/>
      <c r="N38" s="6"/>
    </row>
    <row r="39" spans="1:14" ht="14.5" customHeight="1">
      <c r="A39" s="6"/>
      <c r="B39" s="39"/>
      <c r="C39" s="40" t="s">
        <v>9</v>
      </c>
      <c r="D39" s="34" t="s">
        <v>28</v>
      </c>
      <c r="E39" s="24" t="s">
        <v>52</v>
      </c>
      <c r="F39" s="24" t="s">
        <v>53</v>
      </c>
      <c r="G39" s="24" t="s">
        <v>27</v>
      </c>
      <c r="H39" s="24" t="s">
        <v>29</v>
      </c>
      <c r="I39" s="24" t="s">
        <v>53</v>
      </c>
      <c r="J39" s="24" t="s">
        <v>27</v>
      </c>
      <c r="K39" s="25" t="s">
        <v>43</v>
      </c>
      <c r="L39" s="28" t="str">
        <f>IF(B7=0,"-",IF(B7&lt;10,"4 x 5' (Rest 3')","4 x 7' (Rest 3')"))</f>
        <v>-</v>
      </c>
      <c r="M39" s="6"/>
      <c r="N39" s="6"/>
    </row>
    <row r="40" spans="1:14" ht="15" customHeight="1">
      <c r="A40" s="6"/>
      <c r="B40" s="39"/>
      <c r="C40" s="41"/>
      <c r="D40" s="5"/>
      <c r="E40" s="5"/>
      <c r="F40" s="5" t="s">
        <v>58</v>
      </c>
      <c r="G40" s="5"/>
      <c r="H40" s="5"/>
      <c r="I40" s="5" t="s">
        <v>57</v>
      </c>
      <c r="J40" s="5"/>
      <c r="K40" s="21" t="s">
        <v>44</v>
      </c>
      <c r="L40" s="27">
        <f>((B5*0.28)+B5*IF(B2="M",0.2,0.15)*IF(B1="Beginner",0.5,IF(B1="Intermediate",0.6,0.8)))</f>
        <v>0</v>
      </c>
      <c r="M40" s="6"/>
      <c r="N40" s="6"/>
    </row>
    <row r="41" spans="1:14" ht="14.5" customHeight="1" thickBot="1">
      <c r="A41" s="6"/>
      <c r="B41" s="39"/>
      <c r="C41" s="42"/>
      <c r="D41" s="29"/>
      <c r="E41" s="29"/>
      <c r="F41" s="29"/>
      <c r="G41" s="29"/>
      <c r="H41" s="29"/>
      <c r="I41" s="29"/>
      <c r="J41" s="29"/>
      <c r="K41" s="22" t="s">
        <v>45</v>
      </c>
      <c r="L41" s="23" t="str">
        <f>IF(G3="-","-","Z4-Z5")</f>
        <v>-</v>
      </c>
      <c r="M41" s="6"/>
      <c r="N41" s="6"/>
    </row>
    <row r="42" spans="1:14" ht="14.5" customHeight="1">
      <c r="A42" s="6"/>
      <c r="B42" s="39"/>
      <c r="C42" s="40" t="s">
        <v>10</v>
      </c>
      <c r="D42" s="34" t="s">
        <v>28</v>
      </c>
      <c r="E42" s="24" t="s">
        <v>52</v>
      </c>
      <c r="F42" s="24" t="s">
        <v>53</v>
      </c>
      <c r="G42" s="24" t="s">
        <v>27</v>
      </c>
      <c r="H42" s="24" t="s">
        <v>29</v>
      </c>
      <c r="I42" s="24" t="s">
        <v>53</v>
      </c>
      <c r="J42" s="24" t="s">
        <v>27</v>
      </c>
      <c r="K42" s="25" t="s">
        <v>43</v>
      </c>
      <c r="L42" s="26">
        <f>IF(B7&lt;13,B7*(5/10),(B7*(6/10)))</f>
        <v>0</v>
      </c>
      <c r="M42" s="6"/>
      <c r="N42" s="6"/>
    </row>
    <row r="43" spans="1:14" ht="15" customHeight="1">
      <c r="A43" s="6"/>
      <c r="B43" s="39"/>
      <c r="C43" s="41"/>
      <c r="D43" s="5"/>
      <c r="E43" s="5"/>
      <c r="F43" s="5" t="s">
        <v>58</v>
      </c>
      <c r="G43" s="5"/>
      <c r="H43" s="5"/>
      <c r="I43" s="5" t="s">
        <v>57</v>
      </c>
      <c r="J43" s="5"/>
      <c r="K43" s="21" t="s">
        <v>44</v>
      </c>
      <c r="L43" s="27">
        <f xml:space="preserve"> (B5 * 0.15 * IF(B1="Beginner", 0.4, IF(B1="Intermediate", 0.6, 0.8)) * IF(B2="M", 1.15, 1))
+ ((B6 - (B5 * 0.1 * IF(B1="Beginner", 0.4, IF(B1="Intermediate", 0.6, 0.8)) * IF(B2="M", 1.15, 1))) / 9) * (4 - 1)</f>
        <v>0</v>
      </c>
      <c r="M43" s="6"/>
      <c r="N43" s="6"/>
    </row>
    <row r="44" spans="1:14" ht="14.5" customHeight="1" thickBot="1">
      <c r="A44" s="6"/>
      <c r="B44" s="39"/>
      <c r="C44" s="42"/>
      <c r="D44" s="29"/>
      <c r="E44" s="29"/>
      <c r="F44" s="29"/>
      <c r="G44" s="29"/>
      <c r="H44" s="29"/>
      <c r="I44" s="29"/>
      <c r="J44" s="29"/>
      <c r="K44" s="22" t="s">
        <v>45</v>
      </c>
      <c r="L44" s="23" t="str">
        <f>IF(G3="-","-","Z3")</f>
        <v>-</v>
      </c>
      <c r="M44" s="6"/>
      <c r="N44" s="6"/>
    </row>
    <row r="45" spans="1:14" ht="14.5" customHeight="1">
      <c r="A45" s="6"/>
      <c r="B45" s="39"/>
      <c r="C45" s="40" t="s">
        <v>11</v>
      </c>
      <c r="D45" s="34" t="s">
        <v>28</v>
      </c>
      <c r="E45" s="24" t="s">
        <v>52</v>
      </c>
      <c r="F45" s="24" t="s">
        <v>27</v>
      </c>
      <c r="G45" s="24" t="s">
        <v>53</v>
      </c>
      <c r="H45" s="24" t="s">
        <v>29</v>
      </c>
      <c r="I45" s="24" t="s">
        <v>27</v>
      </c>
      <c r="J45" s="24" t="s">
        <v>53</v>
      </c>
      <c r="K45" s="25" t="s">
        <v>43</v>
      </c>
      <c r="L45" s="28" t="str">
        <f>IF(B7=0,"-",IF(B7&lt;10,"2 x (3 x 5' (Rest 2')) Rest 4')","2 x (3 x 7' (Rest 2')) Rest 4')"))</f>
        <v>-</v>
      </c>
      <c r="M45" s="6"/>
      <c r="N45" s="6"/>
    </row>
    <row r="46" spans="1:14" ht="15" customHeight="1">
      <c r="A46" s="6"/>
      <c r="B46" s="39"/>
      <c r="C46" s="41"/>
      <c r="D46" s="5"/>
      <c r="E46" s="5"/>
      <c r="F46" s="5"/>
      <c r="G46" s="5" t="s">
        <v>58</v>
      </c>
      <c r="H46" s="5"/>
      <c r="I46" s="5"/>
      <c r="J46" s="5" t="s">
        <v>54</v>
      </c>
      <c r="K46" s="21" t="s">
        <v>44</v>
      </c>
      <c r="L46" s="27">
        <f>((B5*0.29)+B5*IF(B2="M",0.2,0.15)*IF(B1="Beginner",0.5,IF(B1="Intermediate",0.6,0.8)))</f>
        <v>0</v>
      </c>
      <c r="M46" s="6"/>
      <c r="N46" s="6"/>
    </row>
    <row r="47" spans="1:14" ht="14.5" customHeight="1" thickBot="1">
      <c r="A47" s="6"/>
      <c r="B47" s="39"/>
      <c r="C47" s="42"/>
      <c r="D47" s="29"/>
      <c r="E47" s="29"/>
      <c r="F47" s="29"/>
      <c r="G47" s="29"/>
      <c r="H47" s="29"/>
      <c r="I47" s="29"/>
      <c r="J47" s="29"/>
      <c r="K47" s="22" t="s">
        <v>45</v>
      </c>
      <c r="L47" s="23" t="str">
        <f>IF(G3="-","-","Z4-Z5")</f>
        <v>-</v>
      </c>
      <c r="M47" s="6"/>
      <c r="N47" s="6"/>
    </row>
    <row r="48" spans="1:14" ht="14.5" customHeight="1">
      <c r="A48" s="6"/>
      <c r="B48" s="39"/>
      <c r="C48" s="40" t="s">
        <v>12</v>
      </c>
      <c r="D48" s="24" t="s">
        <v>52</v>
      </c>
      <c r="E48" s="24" t="s">
        <v>27</v>
      </c>
      <c r="F48" s="24" t="s">
        <v>53</v>
      </c>
      <c r="G48" s="24" t="s">
        <v>52</v>
      </c>
      <c r="H48" s="24" t="s">
        <v>29</v>
      </c>
      <c r="I48" s="24" t="s">
        <v>53</v>
      </c>
      <c r="J48" s="24" t="s">
        <v>27</v>
      </c>
      <c r="K48" s="43"/>
      <c r="L48" s="44"/>
      <c r="M48" s="6"/>
      <c r="N48" s="6"/>
    </row>
    <row r="49" spans="1:14" ht="15" customHeight="1">
      <c r="A49" s="6"/>
      <c r="B49" s="39"/>
      <c r="C49" s="41"/>
      <c r="D49" s="5"/>
      <c r="E49" s="5"/>
      <c r="F49" s="5" t="s">
        <v>54</v>
      </c>
      <c r="G49" s="5"/>
      <c r="H49" s="5"/>
      <c r="I49" s="5" t="s">
        <v>56</v>
      </c>
      <c r="J49" s="5"/>
      <c r="K49" s="45"/>
      <c r="L49" s="46"/>
      <c r="M49" s="6"/>
      <c r="N49" s="6"/>
    </row>
    <row r="50" spans="1:14" ht="14.5" customHeight="1" thickBot="1">
      <c r="A50" s="6"/>
      <c r="B50" s="39"/>
      <c r="C50" s="42"/>
      <c r="D50" s="29"/>
      <c r="E50" s="29"/>
      <c r="F50" s="29"/>
      <c r="G50" s="29"/>
      <c r="H50" s="29"/>
      <c r="I50" s="29"/>
      <c r="J50" s="29"/>
      <c r="K50" s="47"/>
      <c r="L50" s="48"/>
      <c r="M50" s="6"/>
      <c r="N50" s="6"/>
    </row>
    <row r="51" spans="1:14" ht="14.5" customHeight="1">
      <c r="A51" s="6"/>
      <c r="B51" s="39"/>
      <c r="C51" s="40" t="s">
        <v>13</v>
      </c>
      <c r="D51" s="34" t="s">
        <v>28</v>
      </c>
      <c r="E51" s="24" t="s">
        <v>52</v>
      </c>
      <c r="F51" s="24" t="s">
        <v>53</v>
      </c>
      <c r="G51" s="24" t="s">
        <v>27</v>
      </c>
      <c r="H51" s="24" t="s">
        <v>29</v>
      </c>
      <c r="I51" s="24" t="s">
        <v>53</v>
      </c>
      <c r="J51" s="24" t="s">
        <v>27</v>
      </c>
      <c r="K51" s="25" t="s">
        <v>43</v>
      </c>
      <c r="L51" s="28" t="str">
        <f>IF(B7=0,"-",IF(B7&lt;10,"3x10' (Rest 3')","3x12' (Rest 3')"))</f>
        <v>-</v>
      </c>
      <c r="M51" s="6"/>
      <c r="N51" s="6"/>
    </row>
    <row r="52" spans="1:14" ht="15" customHeight="1">
      <c r="A52" s="6"/>
      <c r="B52" s="39"/>
      <c r="C52" s="41"/>
      <c r="D52" s="5"/>
      <c r="E52" s="5"/>
      <c r="F52" s="5" t="s">
        <v>58</v>
      </c>
      <c r="G52" s="5"/>
      <c r="H52" s="5"/>
      <c r="I52" s="5" t="s">
        <v>57</v>
      </c>
      <c r="J52" s="5"/>
      <c r="K52" s="21" t="s">
        <v>44</v>
      </c>
      <c r="L52" s="27">
        <f>((B5*0.3)+B5*IF(B2="M",0.2,0.15)*IF(B1="Beginner",0.5,IF(B1="Intermediate",0.6,0.8)))</f>
        <v>0</v>
      </c>
      <c r="M52" s="6"/>
      <c r="N52" s="6"/>
    </row>
    <row r="53" spans="1:14" ht="14.5" customHeight="1" thickBot="1">
      <c r="A53" s="6"/>
      <c r="B53" s="39"/>
      <c r="C53" s="42"/>
      <c r="D53" s="29"/>
      <c r="E53" s="29"/>
      <c r="F53" s="29"/>
      <c r="G53" s="29"/>
      <c r="H53" s="29"/>
      <c r="I53" s="29"/>
      <c r="J53" s="29"/>
      <c r="K53" s="22" t="s">
        <v>45</v>
      </c>
      <c r="L53" s="23" t="str">
        <f>IF(G3="-","-","Z4-Z5")</f>
        <v>-</v>
      </c>
      <c r="M53" s="6"/>
      <c r="N53" s="6"/>
    </row>
    <row r="54" spans="1:14" ht="14.5" customHeight="1">
      <c r="A54" s="6"/>
      <c r="B54" s="39"/>
      <c r="C54" s="40" t="s">
        <v>14</v>
      </c>
      <c r="D54" s="34" t="s">
        <v>28</v>
      </c>
      <c r="E54" s="24" t="s">
        <v>52</v>
      </c>
      <c r="F54" s="24" t="s">
        <v>53</v>
      </c>
      <c r="G54" s="24" t="s">
        <v>27</v>
      </c>
      <c r="H54" s="24" t="s">
        <v>29</v>
      </c>
      <c r="I54" s="24" t="s">
        <v>53</v>
      </c>
      <c r="J54" s="24" t="s">
        <v>27</v>
      </c>
      <c r="K54" s="25" t="s">
        <v>43</v>
      </c>
      <c r="L54" s="26">
        <f>IF(B7&lt;13,B7*(6.5/10),(B7*(7/10)))</f>
        <v>0</v>
      </c>
      <c r="M54" s="6"/>
      <c r="N54" s="6"/>
    </row>
    <row r="55" spans="1:14" ht="15" customHeight="1">
      <c r="A55" s="6"/>
      <c r="B55" s="39"/>
      <c r="C55" s="41"/>
      <c r="D55" s="5"/>
      <c r="E55" s="5"/>
      <c r="F55" s="5" t="s">
        <v>58</v>
      </c>
      <c r="G55" s="5"/>
      <c r="H55" s="5"/>
      <c r="I55" s="5" t="s">
        <v>57</v>
      </c>
      <c r="J55" s="5"/>
      <c r="K55" s="21" t="s">
        <v>44</v>
      </c>
      <c r="L55" s="27">
        <f xml:space="preserve"> (B5 * 0.1 * IF(B1="Beginner", 0.4, IF(B1="Intermediate", 0.6, 0.8)) * IF(B2="M", 1.15, 1))
+ ((B6 - (B5 * 0.1 * IF(B1="Beginner", 0.4, IF(B1="Intermediate", 0.6, 0.8)) * IF(B2="M", 1.15, 1))) / 9) * (6 - 1)</f>
        <v>0</v>
      </c>
      <c r="M55" s="6"/>
      <c r="N55" s="6"/>
    </row>
    <row r="56" spans="1:14" ht="14.5" customHeight="1" thickBot="1">
      <c r="A56" s="6"/>
      <c r="B56" s="39"/>
      <c r="C56" s="42"/>
      <c r="D56" s="29"/>
      <c r="E56" s="29"/>
      <c r="F56" s="29"/>
      <c r="G56" s="29"/>
      <c r="H56" s="29"/>
      <c r="I56" s="29"/>
      <c r="J56" s="29"/>
      <c r="K56" s="22" t="s">
        <v>45</v>
      </c>
      <c r="L56" s="23" t="str">
        <f>IF(G3="-","-","Z3")</f>
        <v>-</v>
      </c>
      <c r="M56" s="6"/>
      <c r="N56" s="6"/>
    </row>
    <row r="57" spans="1:14" ht="14.5" customHeight="1">
      <c r="A57" s="6"/>
      <c r="B57" s="39"/>
      <c r="C57" s="40" t="s">
        <v>16</v>
      </c>
      <c r="D57" s="34" t="s">
        <v>28</v>
      </c>
      <c r="E57" s="24" t="s">
        <v>52</v>
      </c>
      <c r="F57" s="24" t="s">
        <v>27</v>
      </c>
      <c r="G57" s="24" t="s">
        <v>53</v>
      </c>
      <c r="H57" s="24" t="s">
        <v>29</v>
      </c>
      <c r="I57" s="24" t="s">
        <v>27</v>
      </c>
      <c r="J57" s="24" t="s">
        <v>53</v>
      </c>
      <c r="K57" s="25" t="s">
        <v>43</v>
      </c>
      <c r="L57" s="28" t="str">
        <f>IF(B7=0,"-",IF(B7&lt;10,"3 x 12' (Rest 4')","3 x 12' (Rest 5')"))</f>
        <v>-</v>
      </c>
      <c r="M57" s="6"/>
      <c r="N57" s="6"/>
    </row>
    <row r="58" spans="1:14" ht="15" customHeight="1">
      <c r="A58" s="6"/>
      <c r="B58" s="39"/>
      <c r="C58" s="41"/>
      <c r="D58" s="5"/>
      <c r="E58" s="5"/>
      <c r="F58" s="5"/>
      <c r="G58" s="5" t="s">
        <v>58</v>
      </c>
      <c r="H58" s="5"/>
      <c r="I58" s="5"/>
      <c r="J58" s="5" t="s">
        <v>54</v>
      </c>
      <c r="K58" s="21" t="s">
        <v>44</v>
      </c>
      <c r="L58" s="27">
        <f>((B5*0.32)+B5*IF(B2="M",0.2,0.15)*IF(B1="Beginner",0.5,IF(B1="Intermediate",0.6,0.8)))</f>
        <v>0</v>
      </c>
      <c r="M58" s="6"/>
      <c r="N58" s="6"/>
    </row>
    <row r="59" spans="1:14" ht="14.5" customHeight="1" thickBot="1">
      <c r="A59" s="6"/>
      <c r="B59" s="39"/>
      <c r="C59" s="42"/>
      <c r="D59" s="29"/>
      <c r="E59" s="29"/>
      <c r="F59" s="29"/>
      <c r="G59" s="29"/>
      <c r="H59" s="29"/>
      <c r="I59" s="29"/>
      <c r="J59" s="29"/>
      <c r="K59" s="22" t="s">
        <v>45</v>
      </c>
      <c r="L59" s="23" t="str">
        <f>IF(G3="-","-","Z4-Z5")</f>
        <v>-</v>
      </c>
      <c r="M59" s="6"/>
      <c r="N59" s="6"/>
    </row>
    <row r="60" spans="1:14" ht="14.5" customHeight="1">
      <c r="A60" s="6"/>
      <c r="B60" s="39"/>
      <c r="C60" s="40" t="s">
        <v>17</v>
      </c>
      <c r="D60" s="24" t="s">
        <v>52</v>
      </c>
      <c r="E60" s="24" t="s">
        <v>27</v>
      </c>
      <c r="F60" s="24" t="s">
        <v>53</v>
      </c>
      <c r="G60" s="24" t="s">
        <v>52</v>
      </c>
      <c r="H60" s="24" t="s">
        <v>29</v>
      </c>
      <c r="I60" s="24" t="s">
        <v>53</v>
      </c>
      <c r="J60" s="24" t="s">
        <v>27</v>
      </c>
      <c r="K60" s="43"/>
      <c r="L60" s="44"/>
      <c r="M60" s="6"/>
      <c r="N60" s="6"/>
    </row>
    <row r="61" spans="1:14" ht="15" customHeight="1">
      <c r="A61" s="6"/>
      <c r="B61" s="39"/>
      <c r="C61" s="41"/>
      <c r="D61" s="5"/>
      <c r="E61" s="5"/>
      <c r="F61" s="5" t="s">
        <v>54</v>
      </c>
      <c r="G61" s="5"/>
      <c r="H61" s="5"/>
      <c r="I61" s="5" t="s">
        <v>56</v>
      </c>
      <c r="J61" s="5"/>
      <c r="K61" s="45"/>
      <c r="L61" s="46"/>
      <c r="M61" s="6"/>
      <c r="N61" s="6"/>
    </row>
    <row r="62" spans="1:14" ht="14.5" customHeight="1" thickBot="1">
      <c r="A62" s="6"/>
      <c r="B62" s="39"/>
      <c r="C62" s="42"/>
      <c r="D62" s="29"/>
      <c r="E62" s="29"/>
      <c r="F62" s="29"/>
      <c r="G62" s="29"/>
      <c r="H62" s="29"/>
      <c r="I62" s="29"/>
      <c r="J62" s="29"/>
      <c r="K62" s="47"/>
      <c r="L62" s="48"/>
      <c r="M62" s="6"/>
      <c r="N62" s="6"/>
    </row>
    <row r="63" spans="1:14" ht="14.5" customHeight="1">
      <c r="A63" s="6"/>
      <c r="B63" s="39"/>
      <c r="C63" s="40" t="s">
        <v>18</v>
      </c>
      <c r="D63" s="34" t="s">
        <v>28</v>
      </c>
      <c r="E63" s="24" t="s">
        <v>52</v>
      </c>
      <c r="F63" s="24" t="s">
        <v>53</v>
      </c>
      <c r="G63" s="24" t="s">
        <v>27</v>
      </c>
      <c r="H63" s="24" t="s">
        <v>29</v>
      </c>
      <c r="I63" s="24" t="s">
        <v>53</v>
      </c>
      <c r="J63" s="24" t="s">
        <v>27</v>
      </c>
      <c r="K63" s="25" t="s">
        <v>43</v>
      </c>
      <c r="L63" s="26">
        <f>IF(B7&lt;13,B7*(8.5/10),(B7*(8.5/10)))</f>
        <v>0</v>
      </c>
      <c r="M63" s="6"/>
      <c r="N63" s="6"/>
    </row>
    <row r="64" spans="1:14" ht="15" customHeight="1">
      <c r="A64" s="6"/>
      <c r="B64" s="39"/>
      <c r="C64" s="41"/>
      <c r="D64" s="5"/>
      <c r="E64" s="5"/>
      <c r="F64" s="5" t="s">
        <v>58</v>
      </c>
      <c r="G64" s="5"/>
      <c r="H64" s="5"/>
      <c r="I64" s="5" t="s">
        <v>57</v>
      </c>
      <c r="J64" s="5"/>
      <c r="K64" s="21" t="s">
        <v>44</v>
      </c>
      <c r="L64" s="27">
        <f xml:space="preserve"> (B5 * 0.1 * IF(B1="Beginner", 0.4, IF(B1="Intermediate", 0.6, 0.8)) * IF(B2="M", 1.15, 1))
+ ((B6 - (B5 * 0.1 * IF(B1="Beginner", 0.4, IF(B1="Intermediate", 0.6, 0.8)) * IF(B2="M", 1.15, 1))) / 9) * (9 - 1)</f>
        <v>0</v>
      </c>
      <c r="M64" s="6"/>
      <c r="N64" s="6"/>
    </row>
    <row r="65" spans="1:14" ht="14.5" thickBot="1">
      <c r="A65" s="6"/>
      <c r="B65" s="39"/>
      <c r="C65" s="42"/>
      <c r="D65" s="29"/>
      <c r="E65" s="29"/>
      <c r="F65" s="29"/>
      <c r="G65" s="29"/>
      <c r="H65" s="29"/>
      <c r="I65" s="29"/>
      <c r="J65" s="29"/>
      <c r="K65" s="22" t="s">
        <v>45</v>
      </c>
      <c r="L65" s="23" t="str">
        <f>IF(G3="-","-","Z3")</f>
        <v>-</v>
      </c>
      <c r="M65" s="6"/>
      <c r="N65" s="6"/>
    </row>
    <row r="66" spans="1:14" ht="15.5">
      <c r="A66" s="6"/>
      <c r="B66" s="39"/>
      <c r="C66" s="40" t="s">
        <v>19</v>
      </c>
      <c r="D66" s="34" t="s">
        <v>28</v>
      </c>
      <c r="E66" s="24" t="s">
        <v>52</v>
      </c>
      <c r="F66" s="24" t="s">
        <v>53</v>
      </c>
      <c r="G66" s="24" t="s">
        <v>27</v>
      </c>
      <c r="H66" s="24" t="s">
        <v>29</v>
      </c>
      <c r="I66" s="24" t="s">
        <v>53</v>
      </c>
      <c r="J66" s="24" t="s">
        <v>27</v>
      </c>
      <c r="K66" s="25" t="s">
        <v>43</v>
      </c>
      <c r="L66" s="28" t="str">
        <f>IF(B7=0,"-",IF(B7&lt;10,"4 x 10' (Rest 2')","5 x 10' (Rest 2')"))</f>
        <v>-</v>
      </c>
      <c r="M66" s="6"/>
      <c r="N66" s="6"/>
    </row>
    <row r="67" spans="1:14">
      <c r="A67" s="6"/>
      <c r="B67" s="39"/>
      <c r="C67" s="41"/>
      <c r="D67" s="5"/>
      <c r="E67" s="5"/>
      <c r="F67" s="5" t="s">
        <v>58</v>
      </c>
      <c r="G67" s="5"/>
      <c r="H67" s="5"/>
      <c r="I67" s="5" t="s">
        <v>57</v>
      </c>
      <c r="J67" s="5"/>
      <c r="K67" s="21" t="s">
        <v>44</v>
      </c>
      <c r="L67" s="27">
        <f>((B5*0.35)+B5*IF(B2="M",0.2,0.15)*IF(B1="Beginner",0.5,IF(B1="Intermediate",0.6,0.8)))</f>
        <v>0</v>
      </c>
      <c r="M67" s="6"/>
      <c r="N67" s="6"/>
    </row>
    <row r="68" spans="1:14" ht="14.5" thickBot="1">
      <c r="A68" s="6"/>
      <c r="B68" s="39"/>
      <c r="C68" s="42"/>
      <c r="D68" s="29"/>
      <c r="E68" s="29"/>
      <c r="F68" s="29"/>
      <c r="G68" s="29"/>
      <c r="H68" s="29"/>
      <c r="I68" s="29"/>
      <c r="J68" s="29"/>
      <c r="K68" s="22" t="s">
        <v>45</v>
      </c>
      <c r="L68" s="23" t="str">
        <f>IF(G3="-","-","Z4-Z5")</f>
        <v>-</v>
      </c>
      <c r="M68" s="6"/>
      <c r="N68" s="6"/>
    </row>
    <row r="69" spans="1:14" ht="15.5">
      <c r="A69" s="6"/>
      <c r="B69" s="39"/>
      <c r="C69" s="40" t="s">
        <v>20</v>
      </c>
      <c r="D69" s="34" t="s">
        <v>28</v>
      </c>
      <c r="E69" s="24" t="s">
        <v>52</v>
      </c>
      <c r="F69" s="24" t="s">
        <v>27</v>
      </c>
      <c r="G69" s="24" t="s">
        <v>53</v>
      </c>
      <c r="H69" s="24" t="s">
        <v>29</v>
      </c>
      <c r="I69" s="24" t="s">
        <v>27</v>
      </c>
      <c r="J69" s="24" t="s">
        <v>53</v>
      </c>
      <c r="K69" s="25" t="s">
        <v>43</v>
      </c>
      <c r="L69" s="26">
        <f>B7*(10/10)</f>
        <v>0</v>
      </c>
      <c r="M69" s="6"/>
      <c r="N69" s="6"/>
    </row>
    <row r="70" spans="1:14">
      <c r="A70" s="6"/>
      <c r="B70" s="39"/>
      <c r="C70" s="41"/>
      <c r="D70" s="5"/>
      <c r="E70" s="5"/>
      <c r="F70" s="5"/>
      <c r="G70" s="5" t="s">
        <v>58</v>
      </c>
      <c r="H70" s="5"/>
      <c r="I70" s="5"/>
      <c r="J70" s="5" t="s">
        <v>54</v>
      </c>
      <c r="K70" s="21" t="s">
        <v>44</v>
      </c>
      <c r="L70" s="27">
        <f xml:space="preserve"> (B5 * 0.1 * IF(B1="Beginner", 0.4, IF(B1="Intermediate", 0.6, 0.8)) * IF(B2="M", 1.15, 1))
+ ((B6 - (B5 * 0.1 * IF(B1="Beginner", 0.4, IF(B1="Intermediate", 0.6, 0.8)) * IF(B2="M", 1.15, 1))) / 9) * (10 - 1)</f>
        <v>0</v>
      </c>
      <c r="M70" s="6"/>
      <c r="N70" s="6"/>
    </row>
    <row r="71" spans="1:14" ht="14.5" thickBot="1">
      <c r="A71" s="6"/>
      <c r="B71" s="39"/>
      <c r="C71" s="42"/>
      <c r="D71" s="29"/>
      <c r="E71" s="29"/>
      <c r="F71" s="29"/>
      <c r="G71" s="29"/>
      <c r="H71" s="29"/>
      <c r="I71" s="29"/>
      <c r="J71" s="29"/>
      <c r="K71" s="22" t="s">
        <v>45</v>
      </c>
      <c r="L71" s="23" t="str">
        <f>IF(G3="-","-","Z3")</f>
        <v>-</v>
      </c>
      <c r="M71" s="6"/>
      <c r="N71" s="6"/>
    </row>
    <row r="72" spans="1:14">
      <c r="A72" s="6"/>
      <c r="B72" s="6"/>
      <c r="C72" s="5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>
      <c r="A73" s="6"/>
      <c r="B73" s="6"/>
      <c r="C73" s="5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>
      <c r="A74" s="6"/>
      <c r="B74" s="6"/>
      <c r="C74" s="5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</sheetData>
  <sheetProtection algorithmName="SHA-512" hashValue="MyAUxdIxyZhbPmh0wBziJA0xZNaWpeoZ9g+QL93FDQfeH8qDit2yrgAk3s/iAjFdWFyXLrP944Rn+kOGVr1BBw==" saltValue="ynWVB9rRsYRIHAAG/kn/NQ==" spinCount="100000" sheet="1" objects="1" scenarios="1"/>
  <mergeCells count="39">
    <mergeCell ref="C4:D7"/>
    <mergeCell ref="A12:B35"/>
    <mergeCell ref="K12:L14"/>
    <mergeCell ref="K11:L11"/>
    <mergeCell ref="E2:H2"/>
    <mergeCell ref="E3:F3"/>
    <mergeCell ref="E4:F4"/>
    <mergeCell ref="E5:F5"/>
    <mergeCell ref="E6:F6"/>
    <mergeCell ref="E7:F7"/>
    <mergeCell ref="K18:L20"/>
    <mergeCell ref="K24:L26"/>
    <mergeCell ref="K30:L32"/>
    <mergeCell ref="K36:L38"/>
    <mergeCell ref="K48:L50"/>
    <mergeCell ref="K60:L62"/>
    <mergeCell ref="C18:C20"/>
    <mergeCell ref="C21:C23"/>
    <mergeCell ref="C24:C26"/>
    <mergeCell ref="C27:C29"/>
    <mergeCell ref="C30:C32"/>
    <mergeCell ref="C33:C35"/>
    <mergeCell ref="C36:C38"/>
    <mergeCell ref="C39:C41"/>
    <mergeCell ref="C42:C44"/>
    <mergeCell ref="C45:C47"/>
    <mergeCell ref="C48:C50"/>
    <mergeCell ref="C51:C53"/>
    <mergeCell ref="C54:C56"/>
    <mergeCell ref="B36:B47"/>
    <mergeCell ref="B48:B59"/>
    <mergeCell ref="B60:B71"/>
    <mergeCell ref="C12:C14"/>
    <mergeCell ref="C15:C17"/>
    <mergeCell ref="C57:C59"/>
    <mergeCell ref="C60:C62"/>
    <mergeCell ref="C63:C65"/>
    <mergeCell ref="C66:C68"/>
    <mergeCell ref="C69:C71"/>
  </mergeCells>
  <phoneticPr fontId="1" type="noConversion"/>
  <dataValidations count="2">
    <dataValidation type="list" allowBlank="1" showInputMessage="1" showErrorMessage="1" sqref="B1" xr:uid="{ECB2C43A-86F7-4E9D-AC06-9E1814ACDBAB}">
      <formula1>"-,Beginner, Intermediate, Advanced"</formula1>
    </dataValidation>
    <dataValidation type="list" allowBlank="1" showInputMessage="1" showErrorMessage="1" sqref="B2" xr:uid="{C0B00A11-A015-47CA-B665-F614749A7971}">
      <formula1>"-,M,F"</formula1>
    </dataValidation>
  </dataValidations>
  <pageMargins left="0.7" right="0.7" top="0.75" bottom="0.75" header="0.3" footer="0.3"/>
  <pageSetup paperSize="9" scale="4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09E9EB-7A8F-48B9-9951-2D449D62340B}">
  <dimension ref="B2:D22"/>
  <sheetViews>
    <sheetView showGridLines="0" showRowColHeaders="0" workbookViewId="0">
      <selection activeCell="G13" sqref="G13"/>
    </sheetView>
  </sheetViews>
  <sheetFormatPr defaultRowHeight="14"/>
  <sheetData>
    <row r="2" spans="2:4">
      <c r="B2" t="s">
        <v>48</v>
      </c>
      <c r="C2" t="s">
        <v>15</v>
      </c>
      <c r="D2" t="s">
        <v>47</v>
      </c>
    </row>
    <row r="3" spans="2:4">
      <c r="B3">
        <v>1</v>
      </c>
      <c r="C3" s="2"/>
      <c r="D3" s="2"/>
    </row>
    <row r="4" spans="2:4">
      <c r="B4">
        <v>2</v>
      </c>
      <c r="C4" s="2">
        <f>Rucking!L15</f>
        <v>0</v>
      </c>
      <c r="D4" s="2">
        <f>Rucking!L16</f>
        <v>0</v>
      </c>
    </row>
    <row r="5" spans="2:4">
      <c r="B5">
        <v>3</v>
      </c>
      <c r="C5" s="2"/>
      <c r="D5" s="2"/>
    </row>
    <row r="6" spans="2:4">
      <c r="B6">
        <v>4</v>
      </c>
      <c r="C6" s="2">
        <f>Rucking!L21</f>
        <v>0</v>
      </c>
      <c r="D6" s="2">
        <f>Rucking!L22</f>
        <v>0</v>
      </c>
    </row>
    <row r="7" spans="2:4">
      <c r="B7">
        <v>5</v>
      </c>
      <c r="C7" s="2"/>
      <c r="D7" s="2"/>
    </row>
    <row r="8" spans="2:4">
      <c r="B8">
        <v>6</v>
      </c>
      <c r="C8" s="2">
        <f>Rucking!L27</f>
        <v>0</v>
      </c>
      <c r="D8" s="2">
        <f>Rucking!L28</f>
        <v>0</v>
      </c>
    </row>
    <row r="9" spans="2:4">
      <c r="B9">
        <v>7</v>
      </c>
      <c r="C9" s="2"/>
      <c r="D9" s="2"/>
    </row>
    <row r="10" spans="2:4">
      <c r="B10">
        <v>8</v>
      </c>
      <c r="C10" s="2">
        <f>Rucking!L33</f>
        <v>0</v>
      </c>
      <c r="D10" s="2">
        <f>Rucking!L34</f>
        <v>0</v>
      </c>
    </row>
    <row r="11" spans="2:4">
      <c r="B11">
        <v>9</v>
      </c>
      <c r="C11" s="2"/>
      <c r="D11" s="2"/>
    </row>
    <row r="12" spans="2:4">
      <c r="B12">
        <v>10</v>
      </c>
      <c r="C12" s="2">
        <f>IF(C10=0,0,1.5)</f>
        <v>0</v>
      </c>
      <c r="D12" s="2">
        <f>Rucking!L40</f>
        <v>0</v>
      </c>
    </row>
    <row r="13" spans="2:4">
      <c r="B13">
        <v>11</v>
      </c>
      <c r="C13" s="2">
        <f>(Rucking!L42)</f>
        <v>0</v>
      </c>
      <c r="D13" s="2">
        <f>Rucking!L43</f>
        <v>0</v>
      </c>
    </row>
    <row r="14" spans="2:4">
      <c r="B14">
        <v>12</v>
      </c>
      <c r="C14" s="2">
        <f>IF(C10=0,0,2)</f>
        <v>0</v>
      </c>
      <c r="D14" s="2">
        <f>Rucking!L46</f>
        <v>0</v>
      </c>
    </row>
    <row r="15" spans="2:4">
      <c r="B15">
        <v>13</v>
      </c>
      <c r="C15" s="2"/>
      <c r="D15" s="2"/>
    </row>
    <row r="16" spans="2:4">
      <c r="B16">
        <v>14</v>
      </c>
      <c r="C16" s="2">
        <f>IF(C10=0,0,2)</f>
        <v>0</v>
      </c>
      <c r="D16" s="2">
        <f>Rucking!L52</f>
        <v>0</v>
      </c>
    </row>
    <row r="17" spans="2:4">
      <c r="B17">
        <v>15</v>
      </c>
      <c r="C17" s="2">
        <f>Rucking!L54</f>
        <v>0</v>
      </c>
      <c r="D17" s="2">
        <f>Rucking!L55</f>
        <v>0</v>
      </c>
    </row>
    <row r="18" spans="2:4">
      <c r="B18">
        <v>16</v>
      </c>
      <c r="C18" s="2">
        <f>IF(C10=0,0,2.5)</f>
        <v>0</v>
      </c>
      <c r="D18" s="2">
        <f>Rucking!L58</f>
        <v>0</v>
      </c>
    </row>
    <row r="19" spans="2:4">
      <c r="B19">
        <v>17</v>
      </c>
      <c r="C19" s="2"/>
      <c r="D19" s="2"/>
    </row>
    <row r="20" spans="2:4">
      <c r="B20">
        <v>18</v>
      </c>
      <c r="C20" s="2">
        <f>Rucking!L63</f>
        <v>0</v>
      </c>
      <c r="D20" s="2">
        <f>Rucking!L64</f>
        <v>0</v>
      </c>
    </row>
    <row r="21" spans="2:4">
      <c r="B21">
        <v>19</v>
      </c>
      <c r="C21" s="2">
        <f>IF(C10=0,0,2.7)</f>
        <v>0</v>
      </c>
      <c r="D21" s="2">
        <f>Rucking!L67</f>
        <v>0</v>
      </c>
    </row>
    <row r="22" spans="2:4">
      <c r="B22">
        <v>20</v>
      </c>
      <c r="C22" s="2">
        <f>Rucking!L69</f>
        <v>0</v>
      </c>
      <c r="D22" s="2">
        <f>Rucking!L70</f>
        <v>0</v>
      </c>
    </row>
  </sheetData>
  <sheetProtection algorithmName="SHA-512" hashValue="5JVOXZy+b3KGCQ9iAnbWhkEgD60uyDUa8gFArGHaFTxyURWbUSp2Pbc2kTJDL53jDWhJ91kdFBX8r5qlUMzDCw==" saltValue="8aVbUyAHJ9m2kjHEyljWD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2</vt:i4>
      </vt:variant>
    </vt:vector>
  </HeadingPairs>
  <TitlesOfParts>
    <vt:vector size="5" baseType="lpstr">
      <vt:lpstr>Board</vt:lpstr>
      <vt:lpstr>Rucking</vt:lpstr>
      <vt:lpstr>Graph data</vt:lpstr>
      <vt:lpstr>Board!Área_de_Impressão</vt:lpstr>
      <vt:lpstr>Rucking!Área_de_Impressão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ExultX</dc:creator>
  <cp:lastModifiedBy>Carla F</cp:lastModifiedBy>
  <cp:lastPrinted>2025-01-18T21:17:39Z</cp:lastPrinted>
  <dcterms:created xsi:type="dcterms:W3CDTF">2025-01-18T16:27:22Z</dcterms:created>
  <dcterms:modified xsi:type="dcterms:W3CDTF">2025-01-22T21:14:28Z</dcterms:modified>
</cp:coreProperties>
</file>